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19" documentId="8_{7AE82442-0FA0-4F69-9F6C-C7180072FC1E}" xr6:coauthVersionLast="47" xr6:coauthVersionMax="47" xr10:uidLastSave="{3BD85FB0-714C-4A19-B4D7-D9BDF04DC86B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<sst xmlns="http://schemas.openxmlformats.org/spreadsheetml/2006/main" count="645" uniqueCount="347">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</sst>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18" zoomScaleNormal="100" workbookViewId="0">
      <selection activeCell="J35" sqref="J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25880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344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134</v>
      </c>
      <c r="E9" s="145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45536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16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46081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25880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Nee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1360</v>
      </c>
      <c r="H18" s="156"/>
      <c r="I18" s="155">
        <f>(I19+I20+I21)</f>
        <v>1371.52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1360</v>
      </c>
      <c r="O18" s="110" t="e">
        <f>VLOOKUP(($D$4),Parameters!$A$4:$R$71,$N$7,FALSE)</f>
        <v>#N/A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320</v>
      </c>
      <c r="H19" s="156"/>
      <c r="I19" s="155">
        <f>IF(G19="-","-",G19*(100%+Parameters!$B$84))</f>
        <v>329.6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320</v>
      </c>
      <c r="O19" s="110" t="e">
        <f>VLOOKUP($D$4,Parameters!$A$4:$R$71,$N$7+3,FALSE)</f>
        <v>#N/A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976</v>
      </c>
      <c r="H20" s="156"/>
      <c r="I20" s="155">
        <f>IF(G20="-","-",G20*(100%))</f>
        <v>976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976</v>
      </c>
      <c r="O20" s="110" t="e">
        <f>VLOOKUP($D$4,Parameters!$A$4:$R$71,$N$7+6,FALSE)</f>
        <v>#N/A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64</v>
      </c>
      <c r="H21" s="156"/>
      <c r="I21" s="155">
        <f>IF(G21="-","-",G21*(100%+Parameters!$B$84))</f>
        <v>65.92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64</v>
      </c>
      <c r="O21" s="110" t="e">
        <f>VLOOKUP($D$4,Parameters!$A$4:$R$71,$N$7+9,FALSE)</f>
        <v>#N/A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 t="e">
        <f>VLOOKUP($D$4,Parameters!$A$4:$R$71,$N$7+12,FALSE)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8</v>
      </c>
      <c r="E26" s="162">
        <f>(D26*Parameters!$B$85)/60</f>
        <v>6.666666666666667</v>
      </c>
      <c r="F26" s="163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9</v>
      </c>
      <c r="E27" s="162">
        <f>(D27*Parameters!$B$85)/60</f>
        <v>7.5</v>
      </c>
      <c r="F27" s="163"/>
      <c r="G27" s="124">
        <f>IF($N$6="BOL",Parameters!C79,Parameters!B79)</f>
        <v>9</v>
      </c>
      <c r="H27" s="125">
        <f>E27*G27</f>
        <v>67.5</v>
      </c>
      <c r="I27" s="126"/>
      <c r="J27" s="126">
        <v>200</v>
      </c>
      <c r="K27" s="125">
        <f>J27+I27+H27</f>
        <v>267.5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8</v>
      </c>
      <c r="E28" s="162">
        <f>(D28*Parameters!$B$85)/60</f>
        <v>6.666666666666667</v>
      </c>
      <c r="F28" s="163"/>
      <c r="G28" s="124">
        <f>IF($N$6="BOL",Parameters!C80,Parameters!B80)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9</v>
      </c>
      <c r="E29" s="162">
        <f>(D29*Parameters!$B$85)/60</f>
        <v>7.5</v>
      </c>
      <c r="F29" s="163"/>
      <c r="G29" s="124">
        <f>IF($N$6="BOL",Parameters!C81,Parameters!B81)</f>
        <v>8</v>
      </c>
      <c r="H29" s="125">
        <f>E29*G29</f>
        <v>60</v>
      </c>
      <c r="I29" s="126"/>
      <c r="J29" s="126">
        <v>200</v>
      </c>
      <c r="K29" s="125">
        <f>J29+I29+H29</f>
        <v>260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247.5</v>
      </c>
      <c r="I30" s="130">
        <f>SUM(I26:I29)</f>
        <v>0</v>
      </c>
      <c r="J30" s="131">
        <f>SUM(J26:J29)</f>
        <v>800</v>
      </c>
      <c r="K30" s="131">
        <f>SUM(K26:K29)</f>
        <v>1047.5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7</v>
      </c>
      <c r="E32" s="162">
        <f>(D32*Parameters!$B$85)/60</f>
        <v>5.833333333333333</v>
      </c>
      <c r="F32" s="163"/>
      <c r="G32" s="124">
        <f>IF($N$11&gt;=2,IF($N$6="BOL",Parameters!C78,Parameters!B78),"-")</f>
        <v>9</v>
      </c>
      <c r="H32" s="125">
        <f>IF(G32&lt;&gt;"-",E32*G32,0)</f>
        <v>52.5</v>
      </c>
      <c r="I32" s="126">
        <v>0</v>
      </c>
      <c r="J32" s="126">
        <v>200</v>
      </c>
      <c r="K32" s="125">
        <f t="shared" ref="K32:K35" si="0">J32+I32+H32</f>
        <v>252.5</v>
      </c>
      <c r="M32" s="101" t="s">
        <v>47</v>
      </c>
      <c r="N32" s="109">
        <f>IF(N10-N26&gt;=10,10,N10-N26)</f>
        <v>6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7</v>
      </c>
      <c r="E33" s="162">
        <f>(D33*Parameters!$B$85)/60</f>
        <v>5.833333333333333</v>
      </c>
      <c r="F33" s="163"/>
      <c r="G33" s="124">
        <f>IF($N$11&gt;=2,IF($N$6="BOL",Parameters!C79,Parameters!B79),"-")</f>
        <v>9</v>
      </c>
      <c r="H33" s="125">
        <f t="shared" ref="H33:H35" si="1">IF(G33&lt;&gt;"-",E33*G33,0)</f>
        <v>52.5</v>
      </c>
      <c r="I33" s="126">
        <v>0</v>
      </c>
      <c r="J33" s="126">
        <v>200</v>
      </c>
      <c r="K33" s="125">
        <f t="shared" si="0"/>
        <v>252.5</v>
      </c>
      <c r="M33" s="101" t="s">
        <v>49</v>
      </c>
      <c r="N33" s="109">
        <f>IF(OR($N$6="BOL",$N$6="VRIJ"),0,N32*200/10)*(100%+Parameters!$B$84)</f>
        <v>123.60000000000001</v>
      </c>
      <c r="O33" s="110">
        <f>N33/(100%+Parameters!$B$84)</f>
        <v>120</v>
      </c>
      <c r="P33" s="110">
        <f>IF(H36+I36&gt;=O33,0,1)</f>
        <v>1</v>
      </c>
      <c r="Q33" s="111"/>
      <c r="R33" s="111"/>
    </row>
    <row r="34" spans="1:18" x14ac:dyDescent="0.3">
      <c r="B34" s="161"/>
      <c r="C34" s="113" t="s">
        <v>50</v>
      </c>
      <c r="D34" s="126"/>
      <c r="E34" s="162">
        <f>(D34*Parameters!$B$85)/60</f>
        <v>0</v>
      </c>
      <c r="F34" s="163"/>
      <c r="G34" s="124">
        <f>IF($N$11&gt;=2,IF($N$6="BOL",Parameters!C80,Parameters!B80),"-")</f>
        <v>9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366</v>
      </c>
      <c r="O34" s="110">
        <f>N34/(100%)</f>
        <v>366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/>
      <c r="E35" s="162">
        <f>(D35*Parameters!$B$85)/60</f>
        <v>0</v>
      </c>
      <c r="F35" s="163"/>
      <c r="G35" s="124">
        <f>IF($N$11&gt;=2,IF($N$6="BOL",Parameters!C81,Parameters!B81),"-")</f>
        <v>8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IF($N$6="BOL",N32*1000/10,IF($N$6="BBL",N32*850/10,0))*(100%+Parameters!$B$84)</f>
        <v>525.30000000000007</v>
      </c>
      <c r="O35" s="110">
        <f>N35/(100%+Parameters!$B$84)</f>
        <v>510.00000000000006</v>
      </c>
      <c r="P35" s="110">
        <f>IF(K36&gt;=O35,0,1)</f>
        <v>1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105</v>
      </c>
      <c r="I36" s="130">
        <f>SUM(I32:I35)</f>
        <v>0</v>
      </c>
      <c r="J36" s="131">
        <f>SUM(J32:J35)</f>
        <v>400</v>
      </c>
      <c r="K36" s="131">
        <f>SUM(K32:K35)</f>
        <v>505</v>
      </c>
      <c r="M36" s="94" t="s">
        <v>54</v>
      </c>
      <c r="N36" s="101">
        <f>IF(AND(H36+I36&gt;=N33,J36&gt;=N34,K36&gt;=N35),0,1)</f>
        <v>1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352.5</v>
      </c>
      <c r="J51" s="105">
        <f>J48+J42+J36+J30</f>
        <v>1200</v>
      </c>
      <c r="K51" s="134">
        <f>K48+K42+K36+K30</f>
        <v>1552.5</v>
      </c>
      <c r="L51" s="72"/>
      <c r="M51" s="94" t="s">
        <v>57</v>
      </c>
      <c r="N51" s="135">
        <f>N48+N42+N36+N30</f>
        <v>1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Ondernemer handel (doorstroom + sprint)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25880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45536</v>
      </c>
      <c r="E5" s="12" t="s">
        <v>62</v>
      </c>
      <c r="F5" s="46">
        <f>Programmering!$D$11</f>
        <v>46081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67.5</v>
      </c>
      <c r="E9" s="28">
        <f>Programmering!J27</f>
        <v>200</v>
      </c>
      <c r="F9" s="28">
        <f>Programmering!K27</f>
        <v>267.5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60</v>
      </c>
      <c r="E11" s="28">
        <f>Programmering!J29</f>
        <v>200</v>
      </c>
      <c r="F11" s="28">
        <f>Programmering!K29</f>
        <v>260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247.5</v>
      </c>
      <c r="E12" s="33">
        <f>Programmering!J30</f>
        <v>800</v>
      </c>
      <c r="F12" s="33">
        <f>Programmering!K30</f>
        <v>1047.5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52.5</v>
      </c>
      <c r="E14" s="29">
        <f>Programmering!J32</f>
        <v>200</v>
      </c>
      <c r="F14" s="29">
        <f>Programmering!K32</f>
        <v>252.5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52.5</v>
      </c>
      <c r="E15" s="29">
        <f>Programmering!J33</f>
        <v>200</v>
      </c>
      <c r="F15" s="29">
        <f>Programmering!K33</f>
        <v>252.5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105</v>
      </c>
      <c r="E18" s="32">
        <f>Programmering!J36</f>
        <v>400</v>
      </c>
      <c r="F18" s="32">
        <f>Programmering!K36</f>
        <v>505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352.5</v>
      </c>
      <c r="E32" s="52">
        <f>Programmering!J51</f>
        <v>1200</v>
      </c>
      <c r="F32" s="52">
        <f>Programmering!K51</f>
        <v>1552.5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25880s</v>
      </c>
      <c r="C3" t="str">
        <f>RIGHT(Programmering!D6,LEN(Programmering!D6)-8)</f>
        <v>Ondernemer handel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45536</v>
      </c>
      <c r="I3" s="18">
        <f>Programmering!D11</f>
        <v>46081</v>
      </c>
      <c r="J3" s="22">
        <f>Programmering!G18</f>
        <v>1360</v>
      </c>
      <c r="K3" s="22">
        <f>Programmering!G19</f>
        <v>320</v>
      </c>
      <c r="L3" s="22">
        <f>Programmering!G20</f>
        <v>976</v>
      </c>
      <c r="M3">
        <f>Programmering!N10</f>
        <v>16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67.5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60</v>
      </c>
      <c r="U3" s="22">
        <f>Programmering!J29</f>
        <v>200</v>
      </c>
      <c r="V3" s="22">
        <f>Programmering!H30+Programmering!I30</f>
        <v>247.5</v>
      </c>
      <c r="W3" s="22">
        <f>Programmering!J30</f>
        <v>800</v>
      </c>
      <c r="X3" s="22">
        <f>Programmering!K30</f>
        <v>1047.5</v>
      </c>
      <c r="Y3" s="22">
        <f>Programmering!H32+Programmering!I32</f>
        <v>52.5</v>
      </c>
      <c r="Z3" s="22">
        <f>Programmering!J32</f>
        <v>200</v>
      </c>
      <c r="AA3" s="22">
        <f>Programmering!H33+Programmering!I33</f>
        <v>52.5</v>
      </c>
      <c r="AB3" s="22">
        <f>Programmering!J33</f>
        <v>200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105</v>
      </c>
      <c r="AH3" s="22">
        <f>Programmering!J36</f>
        <v>400</v>
      </c>
      <c r="AI3" s="22">
        <f>Programmering!K36</f>
        <v>505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Woudenberg - Vlot, A.H. (AHVt)</cp:lastModifiedBy>
  <cp:revision/>
  <cp:lastPrinted>2023-11-28T13:37:04Z</cp:lastPrinted>
  <dcterms:created xsi:type="dcterms:W3CDTF">2014-05-19T17:20:27Z</dcterms:created>
  <dcterms:modified xsi:type="dcterms:W3CDTF">2024-06-27T11:43:15Z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